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<sst xmlns="http://schemas.openxmlformats.org/spreadsheetml/2006/main" count="165" uniqueCount="118">
  <si>
    <t>worksheet assembled by Brian Hughes. (http://www.amphibike.org)   Mathematical formulas taken from various college textbooks and wikipedia. Feel free to experiment with different input values and new calculations but DO NOT redistribute this worksheet without this notice.</t>
  </si>
  <si>
    <t>This worksheet contains range, acceleration, and hill climb angle calculations for a hypothetical EV based On my 1985 toyota MR2.  Simplifying assumptions have been made in some calculations.  Input data is based on Educated guesses and / or actual measurements, and / or data available online.  Input data is intended to be conservative.</t>
  </si>
  <si>
    <t>Use this at your own risk</t>
  </si>
  <si>
    <t>Input Fields are in Italics</t>
  </si>
  <si>
    <t>Intermediate calculations are normal text.</t>
  </si>
  <si>
    <t>Bold values indicate sections and final results.</t>
  </si>
  <si>
    <t>Input data</t>
  </si>
  <si>
    <t>SI units</t>
  </si>
  <si>
    <t>English Units</t>
  </si>
  <si>
    <t>Density of dry air at sea level</t>
  </si>
  <si>
    <t>kg/m^3</t>
  </si>
  <si>
    <t xml:space="preserve">car body CdA </t>
  </si>
  <si>
    <t>m^2</t>
  </si>
  <si>
    <t>sqft</t>
  </si>
  <si>
    <t>Car original curb weight</t>
  </si>
  <si>
    <t>lbs</t>
  </si>
  <si>
    <t>Take-off components weight</t>
  </si>
  <si>
    <t>kg</t>
  </si>
  <si>
    <t>Battery weight (kg)</t>
  </si>
  <si>
    <t>Battery volts</t>
  </si>
  <si>
    <t>V</t>
  </si>
  <si>
    <t>Battery capacity 20-hr rate</t>
  </si>
  <si>
    <t>kWh</t>
  </si>
  <si>
    <t>Battery capacity 75A rate</t>
  </si>
  <si>
    <t>Motor weight</t>
  </si>
  <si>
    <t>Motor Efficiency</t>
  </si>
  <si>
    <t>Motor peak RPM</t>
  </si>
  <si>
    <t>RPM</t>
  </si>
  <si>
    <t>Motor torque constant nm/A</t>
  </si>
  <si>
    <t>Nm/A</t>
  </si>
  <si>
    <t>lb.ft/a</t>
  </si>
  <si>
    <t>ADC 9” MT2117</t>
  </si>
  <si>
    <t>Motor Continuous kW</t>
  </si>
  <si>
    <t>kW</t>
  </si>
  <si>
    <t>hp</t>
  </si>
  <si>
    <t>Other EV components weight added</t>
  </si>
  <si>
    <t>rolling resistance drag ratio (to weight of car)</t>
  </si>
  <si>
    <t>Rotational weight coefficient (wheels, axles, motors)</t>
  </si>
  <si>
    <t>Tire diameter</t>
  </si>
  <si>
    <t>m</t>
  </si>
  <si>
    <t>in</t>
  </si>
  <si>
    <t>5th gear overall ratio</t>
  </si>
  <si>
    <t>4th gear overall ratio</t>
  </si>
  <si>
    <t>3rd gear overall ratio</t>
  </si>
  <si>
    <t>2nd gear overall ratio</t>
  </si>
  <si>
    <t>1st gear overall ratio</t>
  </si>
  <si>
    <t>Drivetrain efficiency</t>
  </si>
  <si>
    <t>Electric system Efficiency</t>
  </si>
  <si>
    <t>Controller max amps</t>
  </si>
  <si>
    <t>A</t>
  </si>
  <si>
    <t>Target speed</t>
  </si>
  <si>
    <t>m/s</t>
  </si>
  <si>
    <t>mph</t>
  </si>
  <si>
    <t>Intermediate calculations</t>
  </si>
  <si>
    <t xml:space="preserve">Overall weight of car as an EV.  </t>
  </si>
  <si>
    <t>(subtract take-off weight from original curb weight, then add battery, motor, and other EV component weights)</t>
  </si>
  <si>
    <r>
      <t>Ratio of battery weight to overall weigh</t>
    </r>
    <r>
      <rPr>
        <i/>
        <u val="single"/>
        <sz val="10"/>
        <rFont val="Arial"/>
        <family val="0"/>
      </rPr>
      <t>t</t>
    </r>
  </si>
  <si>
    <t>(rule of thumb: should be one third or higher)</t>
  </si>
  <si>
    <t>Motor Peak Power</t>
  </si>
  <si>
    <t>(calculated assuming that peak power is controller limited)</t>
  </si>
  <si>
    <t>Motor load at target speed (ratio to continuous rating)</t>
  </si>
  <si>
    <t>(Should be less than 1, and ideally less than 0.5, so that the motor does not have to run close to its rated power at the target speed)</t>
  </si>
  <si>
    <t>Motor RPM at target speed (4th gear)</t>
  </si>
  <si>
    <t>Top speed 1st gear (Motor RPM limited)</t>
  </si>
  <si>
    <t>Top speed 2nd gear (Motor RPM limited)</t>
  </si>
  <si>
    <t>Top speed 3rd gear (Motor RPM limited)</t>
  </si>
  <si>
    <t>Top speed 4th gear (Motor RPM limited)</t>
  </si>
  <si>
    <t>Top speed 5th gear (Motor RPM limited)</t>
  </si>
  <si>
    <t>(Top speed calculation based solely on motor peak RPM.  For 1st and 2nd and probably 3rd, this will be the limiting factor.  for 4th and 5th, controller current or battery voltage may be the limiting factor)</t>
  </si>
  <si>
    <t xml:space="preserve">Battery Energy Density </t>
  </si>
  <si>
    <t>kg/kwh</t>
  </si>
  <si>
    <t>lb/kwh</t>
  </si>
  <si>
    <t>(will be around 20kg/kWh for flooded and sealed lead acid, and around 30kg/kwH for AGM and gel batteries)</t>
  </si>
  <si>
    <t>Aerodynamic drag force at target speed</t>
  </si>
  <si>
    <t>N</t>
  </si>
  <si>
    <t>Rolling resistance force at target speed</t>
  </si>
  <si>
    <t>Total deceleration force acting on the car</t>
  </si>
  <si>
    <t>Power at wheels at target speed to counteract deceleration</t>
  </si>
  <si>
    <t>(Exactly equal to the deceleration force acting on the car at the target speed)</t>
  </si>
  <si>
    <t>Overall energy efficiency (battery to wheels)</t>
  </si>
  <si>
    <t>(multiply motor efficiency, electrical efficiency and drivetrain efficiency)</t>
  </si>
  <si>
    <t>Battery power drain at target speed</t>
  </si>
  <si>
    <t>(divide power at wheels by overall energy efficiency)</t>
  </si>
  <si>
    <t>Battery amps at target speed</t>
  </si>
  <si>
    <t>Theoretical Range Calculation</t>
  </si>
  <si>
    <t>Note that this range estimate assumes a complete discharge of the batteries (which must be avoided), and it assumes ideal conditions that probably won't be achieved in real life.  Some real-life factors that would affect this include stopping and starting, hills, headwinds or tailwinds, ambient temperature, your driving style, and battery age.  To ensure the car meets your needs,  look for a theoretical range between 1.5 and 2 times the actual range you need.  Once you get more familiar with the car, you will be able to safely get closer to the theoretical range.</t>
  </si>
  <si>
    <t>Theoretical Range at target speed</t>
  </si>
  <si>
    <t>mi</t>
  </si>
  <si>
    <t>(divide battery capacity by power draw, then multiply resulting run time by speed to get range)</t>
  </si>
  <si>
    <t>Practical Range</t>
  </si>
  <si>
    <t>(80% of theoretical range, based on maximum recommended percentage discharge for lead acid batteries)</t>
  </si>
  <si>
    <t>Energy per unit distance</t>
  </si>
  <si>
    <t>Wh/m</t>
  </si>
  <si>
    <t>Wh/mi</t>
  </si>
  <si>
    <t>Acceleration Calculation</t>
  </si>
  <si>
    <t>Gear Ratio used in calculation</t>
  </si>
  <si>
    <t xml:space="preserve"> (motor may reach RPM limit before target speed is reached depending on ratio selected and RPM limit of motor)</t>
  </si>
  <si>
    <t>Acceleration from the motor at peak power</t>
  </si>
  <si>
    <t>m/s^2</t>
  </si>
  <si>
    <t>(factors in weight of car, gear ratio, rotational inertia of drivetrain)</t>
  </si>
  <si>
    <t xml:space="preserve">Deceleration from rolling resistance </t>
  </si>
  <si>
    <t>(calculated as a constant deceleration proportional to the weight of the vehicle)</t>
  </si>
  <si>
    <t>Total acceleration force  the vehicle is capable of</t>
  </si>
  <si>
    <t>(will be counteracted by aerodynamic deceleration as speed increases)</t>
  </si>
  <si>
    <t>Zero-to-target speed time, simplified calculation</t>
  </si>
  <si>
    <t>s</t>
  </si>
  <si>
    <t>(ignores deceleration from aerodynamic drag)</t>
  </si>
  <si>
    <t>Zero-to-target speed time, including aerodynamic drag</t>
  </si>
  <si>
    <t>(Using “velocity of falling object” equation from wikipedia topic: Drag (physics) rearranged to give time to a known velocity</t>
  </si>
  <si>
    <t>(It makes sense that the effect of aerodynamic drag on acceleration  is minimal since aerodynamic drag force is much smaller than the force that the motor is capable of producing)</t>
  </si>
  <si>
    <t>Hill Climb Angle Calculation</t>
  </si>
  <si>
    <t>(steeper hill climb will be possible in lower gear)</t>
  </si>
  <si>
    <t xml:space="preserve">Acceleration from the motor at peak power </t>
  </si>
  <si>
    <t>(factors in weight of car, gear ratio, but NOT rotational inertia of drivetrain)</t>
  </si>
  <si>
    <t>(maximum hill climb angle is defined as the angle at which gravitational force exactly counteracts the car's acceleration capability as calculated above)</t>
  </si>
  <si>
    <t>Hill climbing capacity</t>
  </si>
  <si>
    <t>degrees</t>
  </si>
  <si>
    <t>percent</t>
  </si>
</sst>
</file>

<file path=xl/styles.xml><?xml version="1.0" encoding="utf-8"?>
<styleSheet xmlns="http://schemas.openxmlformats.org/spreadsheetml/2006/main">
  <numFmts count="3">
    <numFmt numFmtId="164" formatCode="GENERAL"/>
    <numFmt numFmtId="165" formatCode="0.000"/>
    <numFmt numFmtId="166" formatCode="0.00"/>
  </numFmts>
  <fonts count="6">
    <font>
      <sz val="10"/>
      <name val="Arial"/>
      <family val="5"/>
    </font>
    <font>
      <b/>
      <sz val="10"/>
      <name val="Arial"/>
      <family val="0"/>
    </font>
    <font>
      <i/>
      <sz val="10"/>
      <name val="Arial"/>
      <family val="5"/>
    </font>
    <font>
      <u val="single"/>
      <sz val="10"/>
      <name val="Arial"/>
      <family val="0"/>
    </font>
    <font>
      <b/>
      <u val="single"/>
      <sz val="10"/>
      <name val="Arial"/>
      <family val="0"/>
    </font>
    <font>
      <i/>
      <u val="single"/>
      <sz val="10"/>
      <name val="Arial"/>
      <family val="0"/>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0" fillId="0" borderId="0" xfId="0" applyFont="1" applyBorder="1" applyAlignment="1">
      <alignment vertical="top" wrapText="1"/>
    </xf>
    <xf numFmtId="164" fontId="0" fillId="0" borderId="0" xfId="0" applyFont="1"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5" fontId="0" fillId="0" borderId="0" xfId="0" applyNumberFormat="1" applyFont="1" applyAlignment="1">
      <alignment/>
    </xf>
    <xf numFmtId="164" fontId="2" fillId="0" borderId="0" xfId="0" applyFont="1" applyAlignment="1">
      <alignment/>
    </xf>
    <xf numFmtId="166" fontId="0" fillId="0" borderId="0" xfId="0" applyNumberFormat="1" applyFont="1" applyAlignment="1">
      <alignment/>
    </xf>
    <xf numFmtId="164" fontId="0" fillId="0" borderId="0" xfId="0" applyFont="1" applyAlignment="1">
      <alignment/>
    </xf>
    <xf numFmtId="164"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2"/>
  <sheetViews>
    <sheetView tabSelected="1" workbookViewId="0" topLeftCell="A112">
      <selection activeCell="C112" sqref="C112"/>
    </sheetView>
  </sheetViews>
  <sheetFormatPr defaultColWidth="12.57421875" defaultRowHeight="12.75"/>
  <cols>
    <col min="1" max="1" width="11.7109375" style="0" customWidth="1"/>
    <col min="2" max="2" width="55.57421875" style="0" customWidth="1"/>
    <col min="3" max="16384" width="11.7109375" style="0" customWidth="1"/>
  </cols>
  <sheetData>
    <row r="1" spans="1:5" s="2" customFormat="1" ht="13.5">
      <c r="A1" s="1" t="s">
        <v>0</v>
      </c>
      <c r="B1" s="1"/>
      <c r="C1" s="1"/>
      <c r="D1" s="1"/>
      <c r="E1" s="1"/>
    </row>
    <row r="2" spans="1:5" s="2" customFormat="1" ht="13.5">
      <c r="A2" s="1"/>
      <c r="B2" s="1"/>
      <c r="C2" s="1"/>
      <c r="D2" s="1"/>
      <c r="E2" s="1"/>
    </row>
    <row r="3" spans="1:5" s="2" customFormat="1" ht="13.5">
      <c r="A3" s="1"/>
      <c r="B3" s="1"/>
      <c r="C3" s="1"/>
      <c r="D3" s="1"/>
      <c r="E3" s="1"/>
    </row>
    <row r="4" s="2" customFormat="1" ht="13.5"/>
    <row r="5" spans="1:5" s="2" customFormat="1" ht="13.5">
      <c r="A5" s="1" t="s">
        <v>1</v>
      </c>
      <c r="B5" s="1"/>
      <c r="C5" s="1"/>
      <c r="D5" s="1"/>
      <c r="E5" s="1"/>
    </row>
    <row r="6" spans="1:5" s="2" customFormat="1" ht="13.5">
      <c r="A6" s="1"/>
      <c r="B6" s="1"/>
      <c r="C6" s="1"/>
      <c r="D6" s="1"/>
      <c r="E6" s="1"/>
    </row>
    <row r="7" spans="1:5" s="2" customFormat="1" ht="13.5">
      <c r="A7" s="1"/>
      <c r="B7" s="1"/>
      <c r="C7" s="1"/>
      <c r="D7" s="1"/>
      <c r="E7" s="1"/>
    </row>
    <row r="8" s="2" customFormat="1" ht="13.5"/>
    <row r="9" s="2" customFormat="1" ht="13.5">
      <c r="A9" s="3" t="s">
        <v>2</v>
      </c>
    </row>
    <row r="10" s="2" customFormat="1" ht="13.5"/>
    <row r="11" s="2" customFormat="1" ht="13.5">
      <c r="A11" s="4" t="s">
        <v>3</v>
      </c>
    </row>
    <row r="12" s="2" customFormat="1" ht="13.5">
      <c r="A12" s="2" t="s">
        <v>4</v>
      </c>
    </row>
    <row r="13" s="2" customFormat="1" ht="13.5">
      <c r="A13" s="3" t="s">
        <v>5</v>
      </c>
    </row>
    <row r="14" s="2" customFormat="1" ht="13.5">
      <c r="B14" s="5"/>
    </row>
    <row r="15" spans="1:5" s="2" customFormat="1" ht="13.5">
      <c r="A15" s="3" t="s">
        <v>6</v>
      </c>
      <c r="B15" s="6"/>
      <c r="C15" s="2" t="s">
        <v>7</v>
      </c>
      <c r="E15" s="2" t="s">
        <v>8</v>
      </c>
    </row>
    <row r="16" s="2" customFormat="1" ht="13.5">
      <c r="B16" s="5"/>
    </row>
    <row r="17" spans="2:4" s="2" customFormat="1" ht="13.5">
      <c r="B17" s="4" t="s">
        <v>9</v>
      </c>
      <c r="C17" s="2">
        <v>1.21</v>
      </c>
      <c r="D17" s="2" t="s">
        <v>10</v>
      </c>
    </row>
    <row r="18" spans="2:6" s="2" customFormat="1" ht="13.5">
      <c r="B18" s="4" t="s">
        <v>11</v>
      </c>
      <c r="C18" s="7">
        <v>0.535</v>
      </c>
      <c r="D18" s="7" t="s">
        <v>12</v>
      </c>
      <c r="E18" s="2">
        <f>C18*10.76</f>
        <v>5.756600000000001</v>
      </c>
      <c r="F18" s="2" t="s">
        <v>13</v>
      </c>
    </row>
    <row r="19" s="2" customFormat="1" ht="13.5">
      <c r="B19" s="4"/>
    </row>
    <row r="20" spans="2:6" s="2" customFormat="1" ht="13.5">
      <c r="B20" s="4" t="s">
        <v>14</v>
      </c>
      <c r="C20" s="2">
        <v>1025</v>
      </c>
      <c r="D20" s="2" t="s">
        <v>10</v>
      </c>
      <c r="E20" s="2">
        <f>C20/0.454</f>
        <v>2257.7092511013216</v>
      </c>
      <c r="F20" s="2" t="s">
        <v>15</v>
      </c>
    </row>
    <row r="21" spans="2:6" s="2" customFormat="1" ht="13.5">
      <c r="B21" s="4" t="s">
        <v>16</v>
      </c>
      <c r="C21" s="2">
        <v>-250</v>
      </c>
      <c r="D21" s="2" t="s">
        <v>17</v>
      </c>
      <c r="E21" s="2">
        <f>C21/0.454</f>
        <v>-550.6607929515418</v>
      </c>
      <c r="F21" s="2" t="s">
        <v>15</v>
      </c>
    </row>
    <row r="22" s="2" customFormat="1" ht="13.5"/>
    <row r="23" spans="2:6" s="2" customFormat="1" ht="13.5">
      <c r="B23" s="4" t="s">
        <v>18</v>
      </c>
      <c r="C23" s="2">
        <v>570</v>
      </c>
      <c r="D23" s="2" t="s">
        <v>17</v>
      </c>
      <c r="E23" s="2">
        <f>C23/0.454</f>
        <v>1255.5066079295154</v>
      </c>
      <c r="F23" s="2" t="s">
        <v>15</v>
      </c>
    </row>
    <row r="24" spans="2:4" s="2" customFormat="1" ht="13.5">
      <c r="B24" s="8" t="s">
        <v>19</v>
      </c>
      <c r="C24" s="2">
        <v>126</v>
      </c>
      <c r="D24" s="2" t="s">
        <v>20</v>
      </c>
    </row>
    <row r="25" spans="2:4" s="2" customFormat="1" ht="13.5">
      <c r="B25" s="8" t="s">
        <v>21</v>
      </c>
      <c r="C25" s="2">
        <v>27.7</v>
      </c>
      <c r="D25" s="2" t="s">
        <v>22</v>
      </c>
    </row>
    <row r="26" spans="2:4" s="2" customFormat="1" ht="13.5">
      <c r="B26" s="8" t="s">
        <v>23</v>
      </c>
      <c r="C26" s="2">
        <v>16</v>
      </c>
      <c r="D26" s="2" t="s">
        <v>22</v>
      </c>
    </row>
    <row r="27" s="2" customFormat="1" ht="13.5"/>
    <row r="28" spans="2:6" s="2" customFormat="1" ht="13.5">
      <c r="B28" s="4" t="s">
        <v>24</v>
      </c>
      <c r="C28" s="2">
        <v>75</v>
      </c>
      <c r="D28" s="2" t="s">
        <v>17</v>
      </c>
      <c r="E28" s="2">
        <f>C28/0.454</f>
        <v>165.19823788546256</v>
      </c>
      <c r="F28" s="2" t="s">
        <v>15</v>
      </c>
    </row>
    <row r="29" spans="2:4" s="2" customFormat="1" ht="13.5">
      <c r="B29" s="4" t="s">
        <v>25</v>
      </c>
      <c r="C29" s="9">
        <v>0.89</v>
      </c>
      <c r="D29" s="9"/>
    </row>
    <row r="30" spans="2:4" s="2" customFormat="1" ht="13.5">
      <c r="B30" s="4" t="s">
        <v>26</v>
      </c>
      <c r="C30" s="2">
        <v>5000</v>
      </c>
      <c r="D30" s="2" t="s">
        <v>27</v>
      </c>
    </row>
    <row r="31" spans="2:7" s="2" customFormat="1" ht="13.5">
      <c r="B31" s="4" t="s">
        <v>28</v>
      </c>
      <c r="C31" s="7">
        <v>0.312</v>
      </c>
      <c r="D31" s="7" t="s">
        <v>29</v>
      </c>
      <c r="E31" s="7">
        <f>C31*0.738</f>
        <v>0.230256</v>
      </c>
      <c r="F31" s="2" t="s">
        <v>30</v>
      </c>
      <c r="G31" s="2" t="s">
        <v>31</v>
      </c>
    </row>
    <row r="32" spans="2:6" s="2" customFormat="1" ht="13.5">
      <c r="B32" s="4" t="s">
        <v>32</v>
      </c>
      <c r="C32" s="2">
        <v>22</v>
      </c>
      <c r="D32" s="2" t="s">
        <v>33</v>
      </c>
      <c r="E32" s="2">
        <f>C32/0.746</f>
        <v>29.490616621983914</v>
      </c>
      <c r="F32" s="2" t="s">
        <v>34</v>
      </c>
    </row>
    <row r="33" s="2" customFormat="1" ht="13.5"/>
    <row r="34" spans="2:6" s="2" customFormat="1" ht="13.5">
      <c r="B34" s="4" t="s">
        <v>35</v>
      </c>
      <c r="C34" s="2">
        <v>100</v>
      </c>
      <c r="D34" s="2" t="s">
        <v>17</v>
      </c>
      <c r="E34" s="2">
        <f>C34/0.454</f>
        <v>220.26431718061673</v>
      </c>
      <c r="F34" s="2" t="s">
        <v>15</v>
      </c>
    </row>
    <row r="35" s="2" customFormat="1" ht="13.5">
      <c r="B35" s="4"/>
    </row>
    <row r="36" spans="2:5" s="2" customFormat="1" ht="13.5">
      <c r="B36" s="4" t="s">
        <v>36</v>
      </c>
      <c r="C36" s="7">
        <v>0.012</v>
      </c>
      <c r="D36" s="7"/>
      <c r="E36" s="7"/>
    </row>
    <row r="37" spans="2:3" s="2" customFormat="1" ht="13.5">
      <c r="B37" s="4" t="s">
        <v>37</v>
      </c>
      <c r="C37" s="2">
        <v>0.06</v>
      </c>
    </row>
    <row r="38" spans="2:6" s="2" customFormat="1" ht="13.5">
      <c r="B38" s="4" t="s">
        <v>38</v>
      </c>
      <c r="C38" s="2">
        <v>0.58</v>
      </c>
      <c r="D38" s="2" t="s">
        <v>39</v>
      </c>
      <c r="E38" s="2">
        <f>C38*3.28*12</f>
        <v>22.828799999999994</v>
      </c>
      <c r="F38" s="2" t="s">
        <v>40</v>
      </c>
    </row>
    <row r="39" s="2" customFormat="1" ht="13.5"/>
    <row r="40" s="2" customFormat="1" ht="13.5">
      <c r="B40" s="4" t="s">
        <v>41</v>
      </c>
    </row>
    <row r="41" spans="2:3" s="2" customFormat="1" ht="13.5">
      <c r="B41" s="8" t="s">
        <v>42</v>
      </c>
      <c r="C41" s="2">
        <v>4</v>
      </c>
    </row>
    <row r="42" spans="2:3" s="2" customFormat="1" ht="13.5">
      <c r="B42" s="8" t="s">
        <v>43</v>
      </c>
      <c r="C42" s="2">
        <v>5.6</v>
      </c>
    </row>
    <row r="43" spans="2:3" s="2" customFormat="1" ht="13.5">
      <c r="B43" s="8" t="s">
        <v>44</v>
      </c>
      <c r="C43" s="2">
        <v>8</v>
      </c>
    </row>
    <row r="44" spans="2:3" s="2" customFormat="1" ht="13.5">
      <c r="B44" s="8" t="s">
        <v>45</v>
      </c>
      <c r="C44" s="2">
        <v>13</v>
      </c>
    </row>
    <row r="45" spans="2:3" s="2" customFormat="1" ht="13.5">
      <c r="B45" s="4" t="s">
        <v>46</v>
      </c>
      <c r="C45" s="2">
        <v>0.92</v>
      </c>
    </row>
    <row r="46" s="2" customFormat="1" ht="13.5"/>
    <row r="47" spans="2:3" s="2" customFormat="1" ht="13.5">
      <c r="B47" s="4" t="s">
        <v>47</v>
      </c>
      <c r="C47" s="2">
        <v>0.95</v>
      </c>
    </row>
    <row r="48" spans="2:4" s="2" customFormat="1" ht="13.5">
      <c r="B48" s="4" t="s">
        <v>48</v>
      </c>
      <c r="C48" s="2">
        <v>500</v>
      </c>
      <c r="D48" s="2" t="s">
        <v>49</v>
      </c>
    </row>
    <row r="49" s="2" customFormat="1" ht="13.5"/>
    <row r="50" spans="2:6" s="2" customFormat="1" ht="13.5">
      <c r="B50" s="8" t="s">
        <v>50</v>
      </c>
      <c r="C50" s="2">
        <v>24.6</v>
      </c>
      <c r="D50" s="2" t="s">
        <v>51</v>
      </c>
      <c r="E50" s="2">
        <f>C50*3600*3.28/5280</f>
        <v>55.014545454545456</v>
      </c>
      <c r="F50" s="2" t="s">
        <v>52</v>
      </c>
    </row>
    <row r="51" s="2" customFormat="1" ht="13.5"/>
    <row r="52" s="2" customFormat="1" ht="13.5">
      <c r="A52" s="3" t="s">
        <v>53</v>
      </c>
    </row>
    <row r="53" s="2" customFormat="1" ht="13.5"/>
    <row r="54" spans="2:6" s="2" customFormat="1" ht="13.5">
      <c r="B54" s="5" t="s">
        <v>54</v>
      </c>
      <c r="C54" s="2">
        <f>C20+C21+C28+C23+C34</f>
        <v>1520</v>
      </c>
      <c r="D54" s="2" t="s">
        <v>17</v>
      </c>
      <c r="E54" s="2">
        <f>C54/0.454</f>
        <v>3348.0176211453745</v>
      </c>
      <c r="F54" s="2" t="s">
        <v>15</v>
      </c>
    </row>
    <row r="55" s="2" customFormat="1" ht="13.5">
      <c r="B55" s="10" t="s">
        <v>55</v>
      </c>
    </row>
    <row r="56" s="2" customFormat="1" ht="13.5"/>
    <row r="57" spans="2:4" s="2" customFormat="1" ht="13.5">
      <c r="B57" s="5" t="s">
        <v>56</v>
      </c>
      <c r="C57" s="7">
        <f>C23/C54</f>
        <v>0.375</v>
      </c>
      <c r="D57" s="7"/>
    </row>
    <row r="58" s="2" customFormat="1" ht="13.5">
      <c r="B58" s="2" t="s">
        <v>57</v>
      </c>
    </row>
    <row r="59" s="2" customFormat="1" ht="13.5"/>
    <row r="60" spans="2:6" s="2" customFormat="1" ht="13.5">
      <c r="B60" s="5" t="s">
        <v>58</v>
      </c>
      <c r="C60" s="2">
        <f>C24*C48/1000</f>
        <v>63</v>
      </c>
      <c r="D60" s="2" t="s">
        <v>33</v>
      </c>
      <c r="E60" s="2">
        <f>C60/0.746</f>
        <v>84.45040214477211</v>
      </c>
      <c r="F60" s="2" t="s">
        <v>34</v>
      </c>
    </row>
    <row r="61" s="2" customFormat="1" ht="13.5">
      <c r="B61" s="2" t="s">
        <v>59</v>
      </c>
    </row>
    <row r="62" s="2" customFormat="1" ht="13.5"/>
    <row r="63" spans="2:3" s="2" customFormat="1" ht="13.5">
      <c r="B63" s="5" t="s">
        <v>60</v>
      </c>
      <c r="C63" s="2">
        <f>C87/C32</f>
        <v>0.5385304325503771</v>
      </c>
    </row>
    <row r="64" s="2" customFormat="1" ht="13.5">
      <c r="B64" s="2" t="s">
        <v>61</v>
      </c>
    </row>
    <row r="65" s="2" customFormat="1" ht="13.5"/>
    <row r="66" spans="2:4" s="2" customFormat="1" ht="13.5">
      <c r="B66" s="5" t="s">
        <v>62</v>
      </c>
      <c r="C66" s="2">
        <f>C50/(C38*3.14)*C41*60</f>
        <v>3241.8185811552826</v>
      </c>
      <c r="D66" s="2" t="s">
        <v>27</v>
      </c>
    </row>
    <row r="67" s="2" customFormat="1" ht="13.5"/>
    <row r="68" spans="2:6" s="2" customFormat="1" ht="13.5">
      <c r="B68" s="2" t="s">
        <v>63</v>
      </c>
      <c r="C68" s="2">
        <f>((C30/C44)/60)*C38*3.14</f>
        <v>11.674358974358976</v>
      </c>
      <c r="D68" s="2" t="s">
        <v>51</v>
      </c>
      <c r="E68" s="2">
        <f>C68*3600*3.28/5280</f>
        <v>26.108111888111893</v>
      </c>
      <c r="F68" s="2" t="s">
        <v>52</v>
      </c>
    </row>
    <row r="69" spans="2:6" s="2" customFormat="1" ht="13.5">
      <c r="B69" s="2" t="s">
        <v>64</v>
      </c>
      <c r="C69" s="2">
        <f>((C30/C43)/60)*C38*3.14</f>
        <v>18.97083333333333</v>
      </c>
      <c r="D69" s="2" t="s">
        <v>51</v>
      </c>
      <c r="E69" s="2">
        <f>C69*3600*3.28/5280</f>
        <v>42.425681818181815</v>
      </c>
      <c r="F69" s="2" t="s">
        <v>52</v>
      </c>
    </row>
    <row r="70" spans="2:6" s="2" customFormat="1" ht="13.5">
      <c r="B70" s="2" t="s">
        <v>65</v>
      </c>
      <c r="C70" s="2">
        <f>((C30/C42)/60)*C38*3.14</f>
        <v>27.101190476190478</v>
      </c>
      <c r="D70" s="2" t="s">
        <v>51</v>
      </c>
      <c r="E70" s="2">
        <f>C70*3600*3.28/5280</f>
        <v>60.608116883116885</v>
      </c>
      <c r="F70" s="2" t="s">
        <v>52</v>
      </c>
    </row>
    <row r="71" spans="2:6" s="2" customFormat="1" ht="13.5">
      <c r="B71" s="2" t="s">
        <v>66</v>
      </c>
      <c r="C71" s="2">
        <f>((C30/C41)/60)*C38*3.14</f>
        <v>37.94166666666666</v>
      </c>
      <c r="D71" s="2" t="s">
        <v>51</v>
      </c>
      <c r="E71" s="2">
        <f>C71*3600*3.28/5280</f>
        <v>84.85136363636363</v>
      </c>
      <c r="F71" s="2" t="s">
        <v>52</v>
      </c>
    </row>
    <row r="72" spans="2:6" s="2" customFormat="1" ht="13.5">
      <c r="B72" s="2" t="s">
        <v>67</v>
      </c>
      <c r="C72" s="2" t="e">
        <f>((C30/C40)/60)*C38*3.14</f>
        <v>#N/A</v>
      </c>
      <c r="D72" s="2" t="s">
        <v>51</v>
      </c>
      <c r="E72" s="2" t="e">
        <f>C72*3600*3.28/5280</f>
        <v>#N/A</v>
      </c>
      <c r="F72" s="2" t="s">
        <v>52</v>
      </c>
    </row>
    <row r="73" s="2" customFormat="1" ht="13.5">
      <c r="B73" s="2" t="s">
        <v>68</v>
      </c>
    </row>
    <row r="74" s="2" customFormat="1" ht="13.5"/>
    <row r="75" spans="2:6" s="2" customFormat="1" ht="13.5">
      <c r="B75" s="5" t="s">
        <v>69</v>
      </c>
      <c r="C75" s="2">
        <f>C23/C25</f>
        <v>20.577617328519857</v>
      </c>
      <c r="D75" s="2" t="s">
        <v>70</v>
      </c>
      <c r="E75" s="2">
        <f>C75/0.454</f>
        <v>45.32514830070453</v>
      </c>
      <c r="F75" s="2" t="s">
        <v>71</v>
      </c>
    </row>
    <row r="76" s="2" customFormat="1" ht="13.5">
      <c r="B76" s="5" t="s">
        <v>72</v>
      </c>
    </row>
    <row r="77" s="2" customFormat="1" ht="13.5">
      <c r="B77" s="5"/>
    </row>
    <row r="78" spans="2:6" s="2" customFormat="1" ht="13.5">
      <c r="B78" s="2" t="s">
        <v>73</v>
      </c>
      <c r="C78" s="2">
        <f>0.5*C17*C18*(C50^2)</f>
        <v>195.87516300000001</v>
      </c>
      <c r="D78" s="2" t="s">
        <v>74</v>
      </c>
      <c r="E78" s="2">
        <f>0.2248*C78</f>
        <v>44.0327366424</v>
      </c>
      <c r="F78" s="2" t="s">
        <v>15</v>
      </c>
    </row>
    <row r="79" spans="2:6" s="2" customFormat="1" ht="13.5">
      <c r="B79" s="2" t="s">
        <v>75</v>
      </c>
      <c r="C79" s="2">
        <f>9.8*C54*C36</f>
        <v>178.75200000000004</v>
      </c>
      <c r="D79" s="2" t="s">
        <v>74</v>
      </c>
      <c r="E79" s="2">
        <f>0.2248*C79</f>
        <v>40.18344960000001</v>
      </c>
      <c r="F79" s="2" t="s">
        <v>15</v>
      </c>
    </row>
    <row r="80" spans="2:6" s="2" customFormat="1" ht="13.5">
      <c r="B80" s="5" t="s">
        <v>76</v>
      </c>
      <c r="C80" s="2">
        <f>C78+C79</f>
        <v>374.62716300000005</v>
      </c>
      <c r="D80" s="2" t="s">
        <v>74</v>
      </c>
      <c r="E80" s="2">
        <f>0.2248*C80</f>
        <v>84.21618624240001</v>
      </c>
      <c r="F80" s="2" t="s">
        <v>15</v>
      </c>
    </row>
    <row r="81" spans="2:6" s="2" customFormat="1" ht="13.5">
      <c r="B81" s="2" t="s">
        <v>77</v>
      </c>
      <c r="C81" s="2">
        <f>C80*C50/1000</f>
        <v>9.215828209800002</v>
      </c>
      <c r="D81" s="2" t="s">
        <v>33</v>
      </c>
      <c r="E81" s="2">
        <f>C81/0.746</f>
        <v>12.353657117694372</v>
      </c>
      <c r="F81" s="2" t="s">
        <v>34</v>
      </c>
    </row>
    <row r="82" s="2" customFormat="1" ht="13.5">
      <c r="B82" s="2" t="s">
        <v>78</v>
      </c>
    </row>
    <row r="83" s="2" customFormat="1" ht="13.5"/>
    <row r="84" spans="2:3" s="2" customFormat="1" ht="13.5">
      <c r="B84" s="5" t="s">
        <v>79</v>
      </c>
      <c r="C84" s="2">
        <f>C47*C45*C29</f>
        <v>0.7778600000000001</v>
      </c>
    </row>
    <row r="85" s="2" customFormat="1" ht="13.5">
      <c r="B85" s="2" t="s">
        <v>80</v>
      </c>
    </row>
    <row r="86" s="2" customFormat="1" ht="13.5"/>
    <row r="87" spans="2:4" s="2" customFormat="1" ht="13.5">
      <c r="B87" s="5" t="s">
        <v>81</v>
      </c>
      <c r="C87" s="2">
        <f>C81/C84</f>
        <v>11.847669516108297</v>
      </c>
      <c r="D87" s="2" t="s">
        <v>33</v>
      </c>
    </row>
    <row r="88" s="2" customFormat="1" ht="13.5">
      <c r="B88" s="2" t="s">
        <v>82</v>
      </c>
    </row>
    <row r="89" s="2" customFormat="1" ht="13.5"/>
    <row r="90" spans="2:4" s="2" customFormat="1" ht="13.5">
      <c r="B90" s="5" t="s">
        <v>83</v>
      </c>
      <c r="C90" s="2">
        <f>C87*1000/C24</f>
        <v>94.02912314371665</v>
      </c>
      <c r="D90" s="2" t="s">
        <v>49</v>
      </c>
    </row>
    <row r="91" s="2" customFormat="1" ht="13.5"/>
    <row r="92" s="2" customFormat="1" ht="13.5">
      <c r="A92" s="3" t="s">
        <v>84</v>
      </c>
    </row>
    <row r="93" s="2" customFormat="1" ht="13.5">
      <c r="A93" s="3"/>
    </row>
    <row r="94" spans="1:6" s="2" customFormat="1" ht="13.5">
      <c r="A94" s="3"/>
      <c r="B94" s="1" t="s">
        <v>85</v>
      </c>
      <c r="C94" s="1"/>
      <c r="D94" s="1"/>
      <c r="E94" s="1"/>
      <c r="F94" s="1"/>
    </row>
    <row r="95" spans="1:6" s="2" customFormat="1" ht="13.5">
      <c r="A95" s="3"/>
      <c r="B95" s="1"/>
      <c r="C95" s="1"/>
      <c r="D95" s="1"/>
      <c r="E95" s="1"/>
      <c r="F95" s="1"/>
    </row>
    <row r="96" spans="1:6" s="2" customFormat="1" ht="13.5">
      <c r="A96" s="3"/>
      <c r="B96" s="1"/>
      <c r="C96" s="1"/>
      <c r="D96" s="1"/>
      <c r="E96" s="1"/>
      <c r="F96" s="1"/>
    </row>
    <row r="97" spans="1:6" s="2" customFormat="1" ht="13.5">
      <c r="A97" s="3"/>
      <c r="B97" s="1"/>
      <c r="C97" s="1"/>
      <c r="D97" s="1"/>
      <c r="E97" s="1"/>
      <c r="F97" s="1"/>
    </row>
    <row r="98" spans="1:6" s="2" customFormat="1" ht="13.5">
      <c r="A98" s="3"/>
      <c r="B98" s="1"/>
      <c r="C98" s="1"/>
      <c r="D98" s="1"/>
      <c r="E98" s="1"/>
      <c r="F98" s="1"/>
    </row>
    <row r="99" s="2" customFormat="1" ht="13.5">
      <c r="A99" s="3"/>
    </row>
    <row r="100" spans="2:6" s="2" customFormat="1" ht="13.5">
      <c r="B100" s="3" t="s">
        <v>86</v>
      </c>
      <c r="C100" s="2">
        <f>C26/C87*3600*C50</f>
        <v>119598.20436191915</v>
      </c>
      <c r="D100" s="2" t="s">
        <v>39</v>
      </c>
      <c r="E100" s="2">
        <f>C100/1609</f>
        <v>74.3307671609193</v>
      </c>
      <c r="F100" s="2" t="s">
        <v>87</v>
      </c>
    </row>
    <row r="101" s="2" customFormat="1" ht="13.5">
      <c r="B101" s="10" t="s">
        <v>88</v>
      </c>
    </row>
    <row r="102" s="2" customFormat="1" ht="13.5">
      <c r="B102" s="10"/>
    </row>
    <row r="103" spans="2:6" s="2" customFormat="1" ht="13.5">
      <c r="B103" s="11" t="s">
        <v>89</v>
      </c>
      <c r="C103" s="2">
        <f>C100*0.8</f>
        <v>95678.56348953533</v>
      </c>
      <c r="D103" s="2" t="s">
        <v>39</v>
      </c>
      <c r="E103" s="2">
        <f>C103/1609</f>
        <v>59.46461372873544</v>
      </c>
      <c r="F103" s="2" t="s">
        <v>87</v>
      </c>
    </row>
    <row r="104" s="2" customFormat="1" ht="13.5">
      <c r="B104" s="10" t="s">
        <v>90</v>
      </c>
    </row>
    <row r="105" s="2" customFormat="1" ht="13.5">
      <c r="B105" s="10"/>
    </row>
    <row r="106" spans="2:6" s="2" customFormat="1" ht="13.5">
      <c r="B106" s="3" t="s">
        <v>91</v>
      </c>
      <c r="C106" s="7">
        <f>(C26*1000)/C100</f>
        <v>0.13378127276545052</v>
      </c>
      <c r="D106" s="2" t="s">
        <v>92</v>
      </c>
      <c r="E106" s="2">
        <f>C106*1609</f>
        <v>215.2540678796099</v>
      </c>
      <c r="F106" s="2" t="s">
        <v>93</v>
      </c>
    </row>
    <row r="107" s="2" customFormat="1" ht="13.5"/>
    <row r="108" s="2" customFormat="1" ht="13.5">
      <c r="A108" s="3" t="s">
        <v>94</v>
      </c>
    </row>
    <row r="109" spans="2:3" s="2" customFormat="1" ht="13.5">
      <c r="B109" s="2" t="s">
        <v>95</v>
      </c>
      <c r="C109" s="2">
        <f>C42</f>
        <v>5.6</v>
      </c>
    </row>
    <row r="110" s="2" customFormat="1" ht="13.5">
      <c r="B110" s="5" t="s">
        <v>96</v>
      </c>
    </row>
    <row r="111" s="2" customFormat="1" ht="13.5">
      <c r="B111" s="5"/>
    </row>
    <row r="112" spans="2:4" s="2" customFormat="1" ht="13.5">
      <c r="B112" s="2" t="s">
        <v>97</v>
      </c>
      <c r="C112" s="2">
        <f>((C31*C48*C109)/(C38/2))/(C54*(1+C37))</f>
        <v>1.8696709242201144</v>
      </c>
      <c r="D112" s="2" t="s">
        <v>98</v>
      </c>
    </row>
    <row r="113" s="2" customFormat="1" ht="13.5">
      <c r="B113" s="5" t="s">
        <v>99</v>
      </c>
    </row>
    <row r="114" s="2" customFormat="1" ht="13.5">
      <c r="B114" s="5"/>
    </row>
    <row r="115" spans="2:4" s="2" customFormat="1" ht="13.5">
      <c r="B115" s="2" t="s">
        <v>100</v>
      </c>
      <c r="C115" s="2">
        <f>((C54*-C36)*9.8)/C54</f>
        <v>-0.11760000000000002</v>
      </c>
      <c r="D115" s="2" t="s">
        <v>98</v>
      </c>
    </row>
    <row r="116" s="2" customFormat="1" ht="13.5">
      <c r="B116" s="5" t="s">
        <v>101</v>
      </c>
    </row>
    <row r="117" s="2" customFormat="1" ht="13.5">
      <c r="B117" s="5"/>
    </row>
    <row r="118" spans="2:4" s="2" customFormat="1" ht="13.5">
      <c r="B118" s="2" t="s">
        <v>102</v>
      </c>
      <c r="C118" s="2">
        <f>C112+C115</f>
        <v>1.7520709242201145</v>
      </c>
      <c r="D118" s="2" t="s">
        <v>98</v>
      </c>
    </row>
    <row r="119" s="2" customFormat="1" ht="13.5">
      <c r="B119" s="5" t="s">
        <v>103</v>
      </c>
    </row>
    <row r="120" s="2" customFormat="1" ht="13.5"/>
    <row r="121" spans="2:4" s="2" customFormat="1" ht="13.5">
      <c r="B121" s="3" t="s">
        <v>104</v>
      </c>
      <c r="C121" s="2">
        <f>C50/C118</f>
        <v>14.040527503731052</v>
      </c>
      <c r="D121" s="2" t="s">
        <v>105</v>
      </c>
    </row>
    <row r="122" s="2" customFormat="1" ht="13.5">
      <c r="B122" s="5" t="s">
        <v>106</v>
      </c>
    </row>
    <row r="123" s="2" customFormat="1" ht="13.5">
      <c r="B123" s="5"/>
    </row>
    <row r="124" spans="2:4" s="2" customFormat="1" ht="13.5">
      <c r="B124" s="3" t="s">
        <v>107</v>
      </c>
      <c r="C124" s="2">
        <f>(ATANH(C50/SQRT((2*C54*C118)/(C17*C18))))/(SQRT((C118*C17*C18)/(2*C54)))</f>
        <v>14.40079304638169</v>
      </c>
      <c r="D124" s="2" t="s">
        <v>105</v>
      </c>
    </row>
    <row r="125" s="2" customFormat="1" ht="13.5">
      <c r="B125" s="2" t="s">
        <v>108</v>
      </c>
    </row>
    <row r="126" s="2" customFormat="1" ht="13.5">
      <c r="B126" s="2" t="s">
        <v>109</v>
      </c>
    </row>
    <row r="127" s="2" customFormat="1" ht="13.5"/>
    <row r="128" s="2" customFormat="1" ht="13.5">
      <c r="A128" s="3" t="s">
        <v>110</v>
      </c>
    </row>
    <row r="129" spans="2:3" s="2" customFormat="1" ht="13.5">
      <c r="B129" s="2" t="s">
        <v>95</v>
      </c>
      <c r="C129" s="2">
        <f>C44</f>
        <v>13</v>
      </c>
    </row>
    <row r="130" s="2" customFormat="1" ht="13.5">
      <c r="B130" s="2" t="s">
        <v>111</v>
      </c>
    </row>
    <row r="131" s="2" customFormat="1" ht="13.5">
      <c r="B131" s="5"/>
    </row>
    <row r="132" spans="2:4" s="2" customFormat="1" ht="13.5">
      <c r="B132" s="2" t="s">
        <v>112</v>
      </c>
      <c r="C132" s="2">
        <f>((C31*C48*C129)/(C38/2))/(C54)</f>
        <v>4.600725952813067</v>
      </c>
      <c r="D132" s="2" t="s">
        <v>98</v>
      </c>
    </row>
    <row r="133" s="2" customFormat="1" ht="13.5">
      <c r="B133" s="2" t="s">
        <v>113</v>
      </c>
    </row>
    <row r="134" s="2" customFormat="1" ht="13.5">
      <c r="B134" s="5"/>
    </row>
    <row r="135" spans="2:4" s="2" customFormat="1" ht="13.5">
      <c r="B135" s="2" t="s">
        <v>100</v>
      </c>
      <c r="C135" s="2">
        <f>((C54*-C36)*9.8)/C54</f>
        <v>-0.11760000000000002</v>
      </c>
      <c r="D135" s="2" t="s">
        <v>98</v>
      </c>
    </row>
    <row r="136" s="2" customFormat="1" ht="13.5">
      <c r="B136" s="2" t="s">
        <v>101</v>
      </c>
    </row>
    <row r="137" s="2" customFormat="1" ht="13.5">
      <c r="B137" s="5"/>
    </row>
    <row r="138" spans="2:4" s="2" customFormat="1" ht="13.5">
      <c r="B138" s="2" t="s">
        <v>102</v>
      </c>
      <c r="C138" s="2">
        <f>C132+C135</f>
        <v>4.483125952813067</v>
      </c>
      <c r="D138" s="2" t="s">
        <v>98</v>
      </c>
    </row>
    <row r="139" s="2" customFormat="1" ht="13.5">
      <c r="B139" s="10" t="s">
        <v>114</v>
      </c>
    </row>
    <row r="140" s="2" customFormat="1" ht="13.5"/>
    <row r="141" spans="2:4" s="2" customFormat="1" ht="13.5">
      <c r="B141" s="3" t="s">
        <v>115</v>
      </c>
      <c r="C141" s="2">
        <f>(ASIN($C138/9.8)*57.3)</f>
        <v>27.22545036071128</v>
      </c>
      <c r="D141" s="2" t="s">
        <v>116</v>
      </c>
    </row>
    <row r="142" spans="2:4" s="2" customFormat="1" ht="13.5">
      <c r="B142" s="3" t="s">
        <v>115</v>
      </c>
      <c r="C142" s="2">
        <f>TAN($C141/57.3)*100</f>
        <v>51.4447571397283</v>
      </c>
      <c r="D142" s="2" t="s">
        <v>117</v>
      </c>
    </row>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sheetData>
  <mergeCells count="3">
    <mergeCell ref="A1:E3"/>
    <mergeCell ref="A5:E7"/>
    <mergeCell ref="B94:F98"/>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row r="1" s="2" customFormat="1" ht="13.5"/>
    <row r="2" s="2" customFormat="1" ht="13.5"/>
    <row r="3" s="2" customFormat="1" ht="13.5"/>
    <row r="4" s="2" customFormat="1" ht="13.5"/>
    <row r="5" s="2" customFormat="1" ht="13.5"/>
    <row r="6" s="2" customFormat="1" ht="13.5"/>
    <row r="7" s="2" customFormat="1" ht="13.5"/>
    <row r="8" s="2" customFormat="1" ht="13.5"/>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row r="19" s="2" customFormat="1" ht="13.5"/>
    <row r="20" s="2" customFormat="1" ht="13.5"/>
    <row r="21" s="2" customFormat="1" ht="13.5"/>
    <row r="22" s="2" customFormat="1" ht="13.5"/>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row r="1" s="2" customFormat="1" ht="13.5"/>
    <row r="2" s="2" customFormat="1" ht="13.5"/>
    <row r="3" s="2" customFormat="1" ht="13.5"/>
    <row r="4" s="2" customFormat="1" ht="13.5"/>
    <row r="5" s="2" customFormat="1" ht="13.5"/>
    <row r="6" s="2" customFormat="1" ht="13.5"/>
    <row r="7" s="2" customFormat="1" ht="13.5"/>
    <row r="8" s="2" customFormat="1" ht="13.5"/>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row r="19" s="2" customFormat="1" ht="13.5"/>
    <row r="20" s="2" customFormat="1" ht="13.5"/>
    <row r="21" s="2" customFormat="1" ht="13.5"/>
    <row r="22" s="2" customFormat="1" ht="13.5"/>
    <row r="23" s="2" customFormat="1" ht="13.5"/>
    <row r="24" s="2" customFormat="1" ht="13.5"/>
    <row r="25" s="2" customFormat="1" ht="13.5"/>
    <row r="26" s="2" customFormat="1" ht="13.5"/>
    <row r="27" s="2" customFormat="1" ht="13.5"/>
    <row r="28" s="2" customFormat="1" ht="13.5"/>
    <row r="29" s="2" customFormat="1" ht="13.5"/>
    <row r="30" s="2" customFormat="1" ht="13.5"/>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sheetData>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1601-01-01T07:00:00Z</cp:lastPrinted>
  <dcterms:created xsi:type="dcterms:W3CDTF">2006-11-28T05:16:08Z</dcterms:created>
  <dcterms:modified xsi:type="dcterms:W3CDTF">2008-03-19T07:11:04Z</dcterms:modified>
  <cp:category/>
  <cp:version/>
  <cp:contentType/>
  <cp:contentStatus/>
  <cp:revision>240</cp:revision>
</cp:coreProperties>
</file>